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20" windowHeight="5265" activeTab="4"/>
  </bookViews>
  <sheets>
    <sheet name="1. Dambrug i Danmark" sheetId="1" r:id="rId1"/>
    <sheet name="JRplotdata" sheetId="2" state="veryHidden" r:id="rId2"/>
    <sheet name="2.Dammene" sheetId="3" r:id="rId3"/>
    <sheet name="3.Fodring af fisk" sheetId="4" r:id="rId4"/>
    <sheet name="4. Iltforbrug" sheetId="5" r:id="rId5"/>
  </sheets>
  <definedNames/>
  <calcPr fullCalcOnLoad="1"/>
</workbook>
</file>

<file path=xl/sharedStrings.xml><?xml version="1.0" encoding="utf-8"?>
<sst xmlns="http://schemas.openxmlformats.org/spreadsheetml/2006/main" count="196" uniqueCount="187">
  <si>
    <t>Antal</t>
  </si>
  <si>
    <t xml:space="preserve">Foderforbrug </t>
  </si>
  <si>
    <t>Årstal</t>
  </si>
  <si>
    <t>Produktion</t>
  </si>
  <si>
    <t>regnbueørred i tons</t>
  </si>
  <si>
    <t>i tons</t>
  </si>
  <si>
    <t>1.1</t>
  </si>
  <si>
    <t xml:space="preserve">Fra 1989 til 2008 faldt antallet af dambrug med </t>
  </si>
  <si>
    <t>1.2</t>
  </si>
  <si>
    <t>1.3</t>
  </si>
  <si>
    <t xml:space="preserve">Produktionen aflæses som størst i </t>
  </si>
  <si>
    <t>1.4</t>
  </si>
  <si>
    <t xml:space="preserve">Et forslag til produktionen i 2013 kunne være </t>
  </si>
  <si>
    <t>(et fald på 500 tons om året i 5 år)</t>
  </si>
  <si>
    <t>1.5</t>
  </si>
  <si>
    <t>Se regneark med orange baggrund</t>
  </si>
  <si>
    <t>1.6</t>
  </si>
  <si>
    <t>1.7</t>
  </si>
  <si>
    <t>Se pindediagram: Udviklingen i antal</t>
  </si>
  <si>
    <t>Se diagram: Produktion af regnbueørred i tons</t>
  </si>
  <si>
    <t>Foderkvotienten</t>
  </si>
  <si>
    <t>1.8+1.9</t>
  </si>
  <si>
    <t>Se grønmarkeret kolonne E</t>
  </si>
  <si>
    <t>1.10</t>
  </si>
  <si>
    <t>Se diagram Udvikling af forderkvotienten</t>
  </si>
  <si>
    <t>1.11</t>
  </si>
  <si>
    <t>Det er fra 1989 til 2008 lykkedes at nedsætte foderkvotienten.</t>
  </si>
  <si>
    <t>I starten af perioden går det stærkest - fra 1,26 i 1989 til 0,98 i 1995.</t>
  </si>
  <si>
    <t>I årene derefter har den ligget nogenlunde konstant lige under 1 -</t>
  </si>
  <si>
    <t>2.1</t>
  </si>
  <si>
    <t>Ved målestoksforholdet 1:1000 omregnes til:</t>
  </si>
  <si>
    <t>(12,6*1000)/100</t>
  </si>
  <si>
    <t>2.2</t>
  </si>
  <si>
    <t xml:space="preserve">Bunden af en dam er </t>
  </si>
  <si>
    <t>21*5</t>
  </si>
  <si>
    <t>2.3</t>
  </si>
  <si>
    <t>2.4</t>
  </si>
  <si>
    <t>Aflæst polygon 1 Geogebra</t>
  </si>
  <si>
    <t>Aflæst polygon 2 Geogebra</t>
  </si>
  <si>
    <t>To af hver sider:</t>
  </si>
  <si>
    <t>2.5</t>
  </si>
  <si>
    <t>2.6</t>
  </si>
  <si>
    <t>Dam</t>
  </si>
  <si>
    <t>Vand</t>
  </si>
  <si>
    <t>Ny dam</t>
  </si>
  <si>
    <t>Længde i meter, overflade</t>
  </si>
  <si>
    <t>Bredde i meter, overflade</t>
  </si>
  <si>
    <t>Længde i meter, bund</t>
  </si>
  <si>
    <t>Bredde i meter, bund</t>
  </si>
  <si>
    <t>Højde i meter</t>
  </si>
  <si>
    <t>Antal liter</t>
  </si>
  <si>
    <t>Rumfang beregnes i C33 til</t>
  </si>
  <si>
    <t>2.7</t>
  </si>
  <si>
    <t>Antal liter vand i dammen beregnes i celle D34</t>
  </si>
  <si>
    <t>2.8</t>
  </si>
  <si>
    <t>I kolonne E er dammene blevet en meter kortere både ved overflade og bund.</t>
  </si>
  <si>
    <t>Bibeholdes højden på en meter, skal dammene gøres 0,3 meter bredere</t>
  </si>
  <si>
    <t>3.1</t>
  </si>
  <si>
    <t>På tabellen i figur 4 aflæses måneden med størst vandføring til</t>
  </si>
  <si>
    <t>marts</t>
  </si>
  <si>
    <t>På tabellen i figur 4 aflæses måneden med mindst vandføring til</t>
  </si>
  <si>
    <t>maj</t>
  </si>
  <si>
    <t>3.2</t>
  </si>
  <si>
    <t>Årets gennemsnitlige vandføring beregnet til:</t>
  </si>
  <si>
    <t>L/s</t>
  </si>
  <si>
    <t>3.3 + 3.4</t>
  </si>
  <si>
    <t>+ 3.5</t>
  </si>
  <si>
    <t>=medianen</t>
  </si>
  <si>
    <t>[Startside - Redigering - sorter og filtrer - brugerdefineret sortering ]</t>
  </si>
  <si>
    <t>3.6</t>
  </si>
  <si>
    <t>Median</t>
  </si>
  <si>
    <t>+  3.7</t>
  </si>
  <si>
    <t>Se pindediagram MInimumsvandføringen 1997 - 2005</t>
  </si>
  <si>
    <t>3.8</t>
  </si>
  <si>
    <t>Qm:</t>
  </si>
  <si>
    <t>A:</t>
  </si>
  <si>
    <t xml:space="preserve">F = </t>
  </si>
  <si>
    <t>tons</t>
  </si>
  <si>
    <t>Tilladt fodermængde</t>
  </si>
  <si>
    <t>Tilladt fodermængde i tons</t>
  </si>
  <si>
    <t>3.9</t>
  </si>
  <si>
    <t>3.10</t>
  </si>
  <si>
    <t>3.11</t>
  </si>
  <si>
    <r>
      <t xml:space="preserve">Det orange felt i </t>
    </r>
    <r>
      <rPr>
        <b/>
        <sz val="11"/>
        <color indexed="8"/>
        <rFont val="Calibri"/>
        <family val="2"/>
      </rPr>
      <t>Tilladt fodermængde</t>
    </r>
  </si>
  <si>
    <t>3.12</t>
  </si>
  <si>
    <r>
      <t>Vandføring: Q</t>
    </r>
    <r>
      <rPr>
        <b/>
        <vertAlign val="subscript"/>
        <sz val="12"/>
        <color indexed="8"/>
        <rFont val="Calibri"/>
        <family val="2"/>
      </rPr>
      <t>m</t>
    </r>
    <r>
      <rPr>
        <b/>
        <sz val="12"/>
        <color indexed="8"/>
        <rFont val="Calibri"/>
        <family val="2"/>
      </rPr>
      <t xml:space="preserve"> i L/s</t>
    </r>
  </si>
  <si>
    <t>I tabellen aflæses et tal for vandføringen på lidt over 190 - anslået 192</t>
  </si>
  <si>
    <t xml:space="preserve">Ved beregning fås: </t>
  </si>
  <si>
    <t>3. Fodring af fisk</t>
  </si>
  <si>
    <t>2. Dammene</t>
  </si>
  <si>
    <t>1. Dambrug i Danmark</t>
  </si>
  <si>
    <t>4. Iltforbrug</t>
  </si>
  <si>
    <t>Vandgennemstrømningen</t>
  </si>
  <si>
    <t>Antal damme</t>
  </si>
  <si>
    <t>Liter vand i en dam</t>
  </si>
  <si>
    <t>Vandføring L/s</t>
  </si>
  <si>
    <t>Vandføring L/h</t>
  </si>
  <si>
    <t>Vandføring pr. dam i L/h</t>
  </si>
  <si>
    <t>Vandgennemstrømningen pr. dam i %</t>
  </si>
  <si>
    <t>4.1</t>
  </si>
  <si>
    <t>De grå felter udfyldt</t>
  </si>
  <si>
    <t>4.2</t>
  </si>
  <si>
    <t>4.3</t>
  </si>
  <si>
    <t>Vandgennemstrømningen falder til 26% (orange celle), hvis antallet af damme udvides til 20</t>
  </si>
  <si>
    <t>4.4</t>
  </si>
  <si>
    <t>4.5</t>
  </si>
  <si>
    <t>Milligram ilt</t>
  </si>
  <si>
    <t>mg ilt</t>
  </si>
  <si>
    <t>Sekunder på 14 dg</t>
  </si>
  <si>
    <t>sek.</t>
  </si>
  <si>
    <t>4.6</t>
  </si>
  <si>
    <t>Tilføres pr. liter:</t>
  </si>
  <si>
    <t>3307/130</t>
  </si>
  <si>
    <t>Vandets eget ilt</t>
  </si>
  <si>
    <t>Iltindhold i vandet</t>
  </si>
  <si>
    <t>mg/L</t>
  </si>
  <si>
    <t>Mg. ilt/sek.</t>
  </si>
  <si>
    <t>Hvis vandgennemstrømningen skal være på mindst 20 %, må antallet af damme højst være 26</t>
  </si>
  <si>
    <t>Iltforbrug</t>
  </si>
  <si>
    <t xml:space="preserve">Iltforbrug hos </t>
  </si>
  <si>
    <t>Iltforbrug i alt hos</t>
  </si>
  <si>
    <r>
      <rPr>
        <b/>
        <sz val="11"/>
        <color indexed="8"/>
        <rFont val="Calibri"/>
        <family val="2"/>
      </rPr>
      <t>°</t>
    </r>
    <r>
      <rPr>
        <b/>
        <sz val="11"/>
        <color indexed="8"/>
        <rFont val="Calibri"/>
        <family val="2"/>
      </rPr>
      <t xml:space="preserve"> C</t>
    </r>
  </si>
  <si>
    <t>1 kg fisk i mg/h</t>
  </si>
  <si>
    <t>25 tons fisk i kg/h</t>
  </si>
  <si>
    <t>4.7</t>
  </si>
  <si>
    <t>Tælleren:</t>
  </si>
  <si>
    <t>tons fisk</t>
  </si>
  <si>
    <t>I B44 = 218,7</t>
  </si>
  <si>
    <r>
      <t xml:space="preserve">Så i tælleren beregnes hvor mange </t>
    </r>
    <r>
      <rPr>
        <sz val="11"/>
        <color indexed="10"/>
        <rFont val="Calibri"/>
        <family val="2"/>
      </rPr>
      <t>mg</t>
    </r>
    <r>
      <rPr>
        <b/>
        <sz val="11"/>
        <color indexed="8"/>
        <rFont val="Calibri"/>
        <family val="2"/>
      </rPr>
      <t xml:space="preserve"> ilt, som 25 tons fisk bruger i timen.</t>
    </r>
  </si>
  <si>
    <t>Derefter divideres med yderligere 1000, så gram bliver til kg.</t>
  </si>
  <si>
    <t>Nævneren:</t>
  </si>
  <si>
    <t>* 1000</t>
  </si>
  <si>
    <t>omregner fra tons til kg</t>
  </si>
  <si>
    <t>er angivet iltforbruget for 1 kg fisk i mg</t>
  </si>
  <si>
    <t>4.8</t>
  </si>
  <si>
    <t>så benævnelsen bliver gram.</t>
  </si>
  <si>
    <t>I nævneren omregnes mg til kg ved først dividere med 1000,</t>
  </si>
  <si>
    <t>4.9</t>
  </si>
  <si>
    <t>4.10</t>
  </si>
  <si>
    <t>Hvis temperaturen overstiger ca. 18 grader overholder Fredes Dambrug IKKE lovens krav.</t>
  </si>
  <si>
    <t>det vil sige, man producerer lidt flere tons ørred, end man bruger foder.</t>
  </si>
  <si>
    <t xml:space="preserve">Eller på en anden måde: Fiskene tager mere på i vægt, end mængden </t>
  </si>
  <si>
    <t>af det foder, de indtager.</t>
  </si>
  <si>
    <t>Den grå linje fra A til B måles til ca. 12,5 cm</t>
  </si>
  <si>
    <r>
      <t>m</t>
    </r>
    <r>
      <rPr>
        <b/>
        <vertAlign val="superscript"/>
        <sz val="11"/>
        <color indexed="8"/>
        <rFont val="Calibri"/>
        <family val="2"/>
      </rPr>
      <t>2</t>
    </r>
  </si>
  <si>
    <t>a</t>
  </si>
  <si>
    <t>b</t>
  </si>
  <si>
    <t>h</t>
  </si>
  <si>
    <t>2 sider</t>
  </si>
  <si>
    <t>I alt</t>
  </si>
  <si>
    <t>I alt:</t>
  </si>
  <si>
    <t>Areal</t>
  </si>
  <si>
    <t>Siderne har form som et trapez, hvis areal beregnes med denne formel: ½*h*(a+b)</t>
  </si>
  <si>
    <t>m</t>
  </si>
  <si>
    <r>
      <t>m</t>
    </r>
    <r>
      <rPr>
        <b/>
        <vertAlign val="superscript"/>
        <sz val="11"/>
        <color indexed="8"/>
        <rFont val="Calibri"/>
        <family val="2"/>
      </rPr>
      <t>3</t>
    </r>
  </si>
  <si>
    <t>0,1*60,48</t>
  </si>
  <si>
    <t xml:space="preserve">     0,1*105</t>
  </si>
  <si>
    <t>Der kan være mange mulige løsningsforslag - et kan fx se sådan ud:</t>
  </si>
  <si>
    <t>L</t>
  </si>
  <si>
    <r>
      <t>Rumfang i m</t>
    </r>
    <r>
      <rPr>
        <b/>
        <vertAlign val="superscript"/>
        <sz val="11"/>
        <color indexed="8"/>
        <rFont val="Calibri"/>
        <family val="2"/>
      </rPr>
      <t>3</t>
    </r>
  </si>
  <si>
    <t>Beton sider</t>
  </si>
  <si>
    <t>Beton bund</t>
  </si>
  <si>
    <t>Lille side</t>
  </si>
  <si>
    <t>Stor side</t>
  </si>
  <si>
    <t>Jan.</t>
  </si>
  <si>
    <t>Feb.</t>
  </si>
  <si>
    <t>Maj</t>
  </si>
  <si>
    <t>Juni</t>
  </si>
  <si>
    <t>Juli</t>
  </si>
  <si>
    <t>Aug.</t>
  </si>
  <si>
    <t>Sept.</t>
  </si>
  <si>
    <t>Okt.</t>
  </si>
  <si>
    <t>Nov.</t>
  </si>
  <si>
    <t>Dec.</t>
  </si>
  <si>
    <t>Anvendes excel-funktionen 'Middel' fås:</t>
  </si>
  <si>
    <t>Anvendes excel-funktionen 'Median' fås:</t>
  </si>
  <si>
    <t>=(0,006*C46+0,1*100)/0,8</t>
  </si>
  <si>
    <t>Indsat i celle F53</t>
  </si>
  <si>
    <t xml:space="preserve">Medianen er </t>
  </si>
  <si>
    <t>Marts</t>
  </si>
  <si>
    <t>April</t>
  </si>
  <si>
    <t>Ved at forsøge sig frem fås, at en vandføring på 147 L/s</t>
  </si>
  <si>
    <t>vil betyde en vandgennemstrømning på 20 % for 30 damme.</t>
  </si>
  <si>
    <r>
      <t>(4 * 10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>)</t>
    </r>
  </si>
  <si>
    <t>Kolonne C udfyldes - den gule!</t>
  </si>
  <si>
    <t>Ved 10 grader aflæses iltoverskudet til</t>
  </si>
  <si>
    <t>mg/L pr. sek.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</si>
</sst>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bscript"/>
      <sz val="12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4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3" fontId="0" fillId="0" borderId="14" xfId="0" applyNumberForma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0" fontId="0" fillId="33" borderId="10" xfId="0" applyFill="1" applyBorder="1" applyAlignment="1">
      <alignment/>
    </xf>
    <xf numFmtId="0" fontId="41" fillId="33" borderId="22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3" fontId="0" fillId="33" borderId="24" xfId="0" applyNumberFormat="1" applyFill="1" applyBorder="1" applyAlignment="1">
      <alignment/>
    </xf>
    <xf numFmtId="0" fontId="41" fillId="33" borderId="12" xfId="0" applyFont="1" applyFill="1" applyBorder="1" applyAlignment="1">
      <alignment horizontal="center"/>
    </xf>
    <xf numFmtId="3" fontId="0" fillId="33" borderId="11" xfId="0" applyNumberFormat="1" applyFill="1" applyBorder="1" applyAlignment="1">
      <alignment/>
    </xf>
    <xf numFmtId="0" fontId="41" fillId="33" borderId="25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3" fontId="0" fillId="33" borderId="26" xfId="0" applyNumberFormat="1" applyFill="1" applyBorder="1" applyAlignment="1">
      <alignment/>
    </xf>
    <xf numFmtId="0" fontId="41" fillId="0" borderId="27" xfId="0" applyFont="1" applyBorder="1" applyAlignment="1">
      <alignment/>
    </xf>
    <xf numFmtId="0" fontId="41" fillId="0" borderId="28" xfId="0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41" fillId="34" borderId="32" xfId="0" applyFont="1" applyFill="1" applyBorder="1" applyAlignment="1">
      <alignment/>
    </xf>
    <xf numFmtId="0" fontId="0" fillId="34" borderId="33" xfId="0" applyFill="1" applyBorder="1" applyAlignment="1">
      <alignment/>
    </xf>
    <xf numFmtId="2" fontId="41" fillId="34" borderId="33" xfId="0" applyNumberFormat="1" applyFont="1" applyFill="1" applyBorder="1" applyAlignment="1">
      <alignment/>
    </xf>
    <xf numFmtId="2" fontId="41" fillId="34" borderId="34" xfId="0" applyNumberFormat="1" applyFont="1" applyFill="1" applyBorder="1" applyAlignment="1">
      <alignment/>
    </xf>
    <xf numFmtId="0" fontId="4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41" fillId="0" borderId="35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22" xfId="0" applyFont="1" applyBorder="1" applyAlignment="1">
      <alignment/>
    </xf>
    <xf numFmtId="0" fontId="0" fillId="0" borderId="23" xfId="0" applyBorder="1" applyAlignment="1">
      <alignment/>
    </xf>
    <xf numFmtId="0" fontId="41" fillId="0" borderId="12" xfId="0" applyFont="1" applyBorder="1" applyAlignment="1">
      <alignment/>
    </xf>
    <xf numFmtId="0" fontId="41" fillId="0" borderId="25" xfId="0" applyFont="1" applyBorder="1" applyAlignment="1">
      <alignment/>
    </xf>
    <xf numFmtId="0" fontId="0" fillId="0" borderId="26" xfId="0" applyBorder="1" applyAlignment="1">
      <alignment/>
    </xf>
    <xf numFmtId="165" fontId="0" fillId="34" borderId="10" xfId="0" applyNumberFormat="1" applyFill="1" applyBorder="1" applyAlignment="1">
      <alignment/>
    </xf>
    <xf numFmtId="0" fontId="41" fillId="0" borderId="0" xfId="0" applyFon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1" xfId="0" applyFill="1" applyBorder="1" applyAlignment="1">
      <alignment/>
    </xf>
    <xf numFmtId="165" fontId="0" fillId="33" borderId="10" xfId="0" applyNumberFormat="1" applyFill="1" applyBorder="1" applyAlignment="1">
      <alignment/>
    </xf>
    <xf numFmtId="4" fontId="41" fillId="0" borderId="0" xfId="0" applyNumberFormat="1" applyFont="1" applyAlignment="1">
      <alignment horizontal="right"/>
    </xf>
    <xf numFmtId="1" fontId="41" fillId="0" borderId="0" xfId="0" applyNumberFormat="1" applyFont="1" applyAlignment="1">
      <alignment horizontal="right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right"/>
    </xf>
    <xf numFmtId="0" fontId="41" fillId="0" borderId="0" xfId="0" applyFont="1" applyFill="1" applyBorder="1" applyAlignment="1">
      <alignment horizontal="center"/>
    </xf>
    <xf numFmtId="0" fontId="41" fillId="0" borderId="0" xfId="0" applyFont="1" applyAlignment="1" quotePrefix="1">
      <alignment horizontal="center"/>
    </xf>
    <xf numFmtId="0" fontId="41" fillId="33" borderId="10" xfId="0" applyFont="1" applyFill="1" applyBorder="1" applyAlignment="1">
      <alignment horizontal="right"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24" xfId="0" applyFont="1" applyBorder="1" applyAlignment="1">
      <alignment/>
    </xf>
    <xf numFmtId="0" fontId="44" fillId="0" borderId="25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31" xfId="0" applyFont="1" applyBorder="1" applyAlignment="1">
      <alignment/>
    </xf>
    <xf numFmtId="0" fontId="45" fillId="0" borderId="38" xfId="0" applyFont="1" applyBorder="1" applyAlignment="1">
      <alignment/>
    </xf>
    <xf numFmtId="0" fontId="45" fillId="0" borderId="39" xfId="0" applyFont="1" applyBorder="1" applyAlignment="1">
      <alignment/>
    </xf>
    <xf numFmtId="0" fontId="45" fillId="0" borderId="22" xfId="0" applyFont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3" fontId="41" fillId="0" borderId="22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41" fillId="0" borderId="12" xfId="0" applyNumberFormat="1" applyFont="1" applyBorder="1" applyAlignment="1">
      <alignment/>
    </xf>
    <xf numFmtId="3" fontId="0" fillId="35" borderId="10" xfId="0" applyNumberFormat="1" applyFill="1" applyBorder="1" applyAlignment="1">
      <alignment/>
    </xf>
    <xf numFmtId="3" fontId="41" fillId="0" borderId="25" xfId="0" applyNumberFormat="1" applyFont="1" applyBorder="1" applyAlignment="1">
      <alignment/>
    </xf>
    <xf numFmtId="9" fontId="0" fillId="35" borderId="13" xfId="0" applyNumberFormat="1" applyFill="1" applyBorder="1" applyAlignment="1">
      <alignment/>
    </xf>
    <xf numFmtId="9" fontId="0" fillId="0" borderId="26" xfId="0" applyNumberFormat="1" applyBorder="1" applyAlignment="1">
      <alignment/>
    </xf>
    <xf numFmtId="3" fontId="0" fillId="0" borderId="40" xfId="0" applyNumberFormat="1" applyBorder="1" applyAlignment="1">
      <alignment/>
    </xf>
    <xf numFmtId="9" fontId="0" fillId="33" borderId="31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3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1" xfId="0" applyNumberFormat="1" applyBorder="1" applyAlignment="1">
      <alignment/>
    </xf>
    <xf numFmtId="9" fontId="0" fillId="0" borderId="25" xfId="0" applyNumberFormat="1" applyBorder="1" applyAlignment="1">
      <alignment/>
    </xf>
    <xf numFmtId="9" fontId="0" fillId="0" borderId="13" xfId="0" applyNumberFormat="1" applyBorder="1" applyAlignment="1">
      <alignment/>
    </xf>
    <xf numFmtId="9" fontId="0" fillId="34" borderId="13" xfId="0" applyNumberForma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0" fontId="0" fillId="34" borderId="23" xfId="0" applyFill="1" applyBorder="1" applyAlignment="1">
      <alignment/>
    </xf>
    <xf numFmtId="3" fontId="0" fillId="36" borderId="11" xfId="0" applyNumberFormat="1" applyFill="1" applyBorder="1" applyAlignment="1">
      <alignment/>
    </xf>
    <xf numFmtId="1" fontId="4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41" fillId="0" borderId="0" xfId="0" applyNumberFormat="1" applyFont="1" applyAlignment="1">
      <alignment/>
    </xf>
    <xf numFmtId="0" fontId="41" fillId="0" borderId="27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35" xfId="0" applyFont="1" applyBorder="1" applyAlignment="1">
      <alignment horizontal="center" wrapText="1"/>
    </xf>
    <xf numFmtId="0" fontId="41" fillId="0" borderId="28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41" fillId="0" borderId="33" xfId="0" applyFont="1" applyBorder="1" applyAlignment="1">
      <alignment horizontal="center"/>
    </xf>
    <xf numFmtId="0" fontId="0" fillId="0" borderId="44" xfId="0" applyBorder="1" applyAlignment="1">
      <alignment/>
    </xf>
    <xf numFmtId="0" fontId="41" fillId="0" borderId="34" xfId="0" applyFont="1" applyBorder="1" applyAlignment="1">
      <alignment horizontal="center"/>
    </xf>
    <xf numFmtId="0" fontId="0" fillId="0" borderId="45" xfId="0" applyBorder="1" applyAlignment="1">
      <alignment/>
    </xf>
    <xf numFmtId="164" fontId="0" fillId="37" borderId="11" xfId="0" applyNumberFormat="1" applyFill="1" applyBorder="1" applyAlignment="1" quotePrefix="1">
      <alignment/>
    </xf>
    <xf numFmtId="164" fontId="0" fillId="37" borderId="11" xfId="0" applyNumberFormat="1" applyFont="1" applyFill="1" applyBorder="1" applyAlignment="1" quotePrefix="1">
      <alignment/>
    </xf>
    <xf numFmtId="3" fontId="41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3" fontId="41" fillId="0" borderId="0" xfId="0" applyNumberFormat="1" applyFont="1" applyAlignment="1">
      <alignment horizontal="right"/>
    </xf>
    <xf numFmtId="164" fontId="0" fillId="34" borderId="10" xfId="0" applyNumberForma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1" fillId="33" borderId="0" xfId="0" applyFont="1" applyFill="1" applyAlignment="1">
      <alignment horizontal="right"/>
    </xf>
    <xf numFmtId="0" fontId="41" fillId="37" borderId="0" xfId="0" applyFont="1" applyFill="1" applyAlignment="1">
      <alignment horizontal="right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4" fillId="0" borderId="24" xfId="0" applyFont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6375"/>
          <c:y val="0.01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7025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tx>
            <c:v>Udviklingen i antal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 Dambrug i Danmark'!$A$5:$A$24</c:f>
              <c:numCache/>
            </c:numRef>
          </c:cat>
          <c:val>
            <c:numRef>
              <c:f>'1. Dambrug i Danmark'!$B$5:$B$24</c:f>
              <c:numCache/>
            </c:numRef>
          </c:val>
        </c:ser>
        <c:axId val="58311334"/>
        <c:axId val="55039959"/>
      </c:barChart>
      <c:catAx>
        <c:axId val="583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39959"/>
        <c:crosses val="autoZero"/>
        <c:auto val="1"/>
        <c:lblOffset val="100"/>
        <c:tickLblSkip val="2"/>
        <c:noMultiLvlLbl val="0"/>
      </c:catAx>
      <c:valAx>
        <c:axId val="550399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1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25"/>
          <c:y val="0.527"/>
          <c:w val="0.261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25"/>
          <c:y val="0.143"/>
          <c:w val="0.9625"/>
          <c:h val="0.82525"/>
        </c:manualLayout>
      </c:layout>
      <c:scatterChart>
        <c:scatterStyle val="smoothMarker"/>
        <c:varyColors val="0"/>
        <c:ser>
          <c:idx val="0"/>
          <c:order val="0"/>
          <c:tx>
            <c:v>Produktion af regnbueørred i tons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'1. Dambrug i Danmark'!$A$5:$A$29</c:f>
              <c:numCache/>
            </c:numRef>
          </c:xVal>
          <c:yVal>
            <c:numRef>
              <c:f>'1. Dambrug i Danmark'!$C$5:$C$29</c:f>
              <c:numCache/>
            </c:numRef>
          </c:yVal>
          <c:smooth val="1"/>
        </c:ser>
        <c:axId val="25597584"/>
        <c:axId val="29051665"/>
      </c:scatterChart>
      <c:valAx>
        <c:axId val="2559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51665"/>
        <c:crosses val="autoZero"/>
        <c:crossBetween val="midCat"/>
        <c:dispUnits/>
      </c:valAx>
      <c:valAx>
        <c:axId val="29051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975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Udvikling af foder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kvotienten</a:t>
            </a:r>
          </a:p>
        </c:rich>
      </c:tx>
      <c:layout>
        <c:manualLayout>
          <c:xMode val="factor"/>
          <c:yMode val="factor"/>
          <c:x val="-0.07275"/>
          <c:y val="-0.03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25"/>
          <c:y val="-0.00025"/>
          <c:w val="0.831"/>
          <c:h val="0.992"/>
        </c:manualLayout>
      </c:layout>
      <c:scatterChart>
        <c:scatterStyle val="lineMarker"/>
        <c:varyColors val="0"/>
        <c:ser>
          <c:idx val="0"/>
          <c:order val="0"/>
          <c:tx>
            <c:v>Udvikling af foderkvotienten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'1. Dambrug i Danmark'!$A$5:$A$24</c:f>
              <c:numCache/>
            </c:numRef>
          </c:xVal>
          <c:yVal>
            <c:numRef>
              <c:f>'1. Dambrug i Danmark'!$E$5:$E$24</c:f>
              <c:numCache/>
            </c:numRef>
          </c:yVal>
          <c:smooth val="0"/>
        </c:ser>
        <c:axId val="60138394"/>
        <c:axId val="4374635"/>
      </c:scatterChart>
      <c:valAx>
        <c:axId val="6013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4635"/>
        <c:crosses val="autoZero"/>
        <c:crossBetween val="midCat"/>
        <c:dispUnits/>
      </c:valAx>
      <c:valAx>
        <c:axId val="4374635"/>
        <c:scaling>
          <c:orientation val="minMax"/>
          <c:max val="1.3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383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75"/>
          <c:y val="0.555"/>
          <c:w val="0.23775"/>
          <c:h val="0.1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85"/>
          <c:w val="0.64175"/>
          <c:h val="0.9735"/>
        </c:manualLayout>
      </c:layout>
      <c:barChart>
        <c:barDir val="col"/>
        <c:grouping val="clustered"/>
        <c:varyColors val="0"/>
        <c:ser>
          <c:idx val="1"/>
          <c:order val="0"/>
          <c:tx>
            <c:v>Minimumsvandføringen 1997 - 2005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'3.Fodring af fisk'!$B$14:$B$22</c:f>
              <c:numCache/>
            </c:numRef>
          </c:cat>
          <c:val>
            <c:numRef>
              <c:f>'3.Fodring af fisk'!$C$14:$C$22</c:f>
              <c:numCache/>
            </c:numRef>
          </c:val>
        </c:ser>
        <c:axId val="39371716"/>
        <c:axId val="18801125"/>
      </c:barChart>
      <c:lineChart>
        <c:grouping val="standard"/>
        <c:varyColors val="0"/>
        <c:ser>
          <c:idx val="2"/>
          <c:order val="1"/>
          <c:tx>
            <c:v>Median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'3.Fodring af fisk'!$B$14:$B$22</c:f>
              <c:numCache/>
            </c:numRef>
          </c:cat>
          <c:val>
            <c:numRef>
              <c:f>'3.Fodring af fisk'!$E$14:$E$22</c:f>
              <c:numCache/>
            </c:numRef>
          </c:val>
          <c:smooth val="0"/>
        </c:ser>
        <c:axId val="39371716"/>
        <c:axId val="18801125"/>
      </c:lineChart>
      <c:catAx>
        <c:axId val="3937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01125"/>
        <c:crosses val="autoZero"/>
        <c:auto val="1"/>
        <c:lblOffset val="100"/>
        <c:tickLblSkip val="1"/>
        <c:noMultiLvlLbl val="0"/>
      </c:catAx>
      <c:valAx>
        <c:axId val="18801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71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75"/>
          <c:y val="0.35125"/>
          <c:w val="0.308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4</xdr:row>
      <xdr:rowOff>133350</xdr:rowOff>
    </xdr:from>
    <xdr:to>
      <xdr:col>13</xdr:col>
      <xdr:colOff>523875</xdr:colOff>
      <xdr:row>19</xdr:row>
      <xdr:rowOff>19050</xdr:rowOff>
    </xdr:to>
    <xdr:graphicFrame>
      <xdr:nvGraphicFramePr>
        <xdr:cNvPr id="1" name="Diagram 5"/>
        <xdr:cNvGraphicFramePr/>
      </xdr:nvGraphicFramePr>
      <xdr:xfrm>
        <a:off x="4905375" y="1066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247650</xdr:colOff>
      <xdr:row>20</xdr:row>
      <xdr:rowOff>95250</xdr:rowOff>
    </xdr:from>
    <xdr:to>
      <xdr:col>13</xdr:col>
      <xdr:colOff>533400</xdr:colOff>
      <xdr:row>34</xdr:row>
      <xdr:rowOff>152400</xdr:rowOff>
    </xdr:to>
    <xdr:graphicFrame>
      <xdr:nvGraphicFramePr>
        <xdr:cNvPr id="2" name="Diagram 6"/>
        <xdr:cNvGraphicFramePr/>
      </xdr:nvGraphicFramePr>
      <xdr:xfrm>
        <a:off x="4933950" y="4076700"/>
        <a:ext cx="45529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35</xdr:row>
      <xdr:rowOff>104775</xdr:rowOff>
    </xdr:from>
    <xdr:to>
      <xdr:col>13</xdr:col>
      <xdr:colOff>552450</xdr:colOff>
      <xdr:row>48</xdr:row>
      <xdr:rowOff>133350</xdr:rowOff>
    </xdr:to>
    <xdr:graphicFrame>
      <xdr:nvGraphicFramePr>
        <xdr:cNvPr id="3" name="Diagram 8"/>
        <xdr:cNvGraphicFramePr/>
      </xdr:nvGraphicFramePr>
      <xdr:xfrm>
        <a:off x="4972050" y="6962775"/>
        <a:ext cx="45339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47625</xdr:rowOff>
    </xdr:from>
    <xdr:to>
      <xdr:col>3</xdr:col>
      <xdr:colOff>514350</xdr:colOff>
      <xdr:row>12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52575"/>
          <a:ext cx="19526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161925</xdr:rowOff>
    </xdr:from>
    <xdr:to>
      <xdr:col>8</xdr:col>
      <xdr:colOff>190500</xdr:colOff>
      <xdr:row>16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19375"/>
          <a:ext cx="4676775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27</xdr:row>
      <xdr:rowOff>85725</xdr:rowOff>
    </xdr:from>
    <xdr:to>
      <xdr:col>9</xdr:col>
      <xdr:colOff>314325</xdr:colOff>
      <xdr:row>41</xdr:row>
      <xdr:rowOff>161925</xdr:rowOff>
    </xdr:to>
    <xdr:graphicFrame>
      <xdr:nvGraphicFramePr>
        <xdr:cNvPr id="1" name="Diagram 3"/>
        <xdr:cNvGraphicFramePr/>
      </xdr:nvGraphicFramePr>
      <xdr:xfrm>
        <a:off x="561975" y="5410200"/>
        <a:ext cx="5372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37">
      <selection activeCell="F61" sqref="F61"/>
    </sheetView>
  </sheetViews>
  <sheetFormatPr defaultColWidth="9.140625" defaultRowHeight="15"/>
  <cols>
    <col min="3" max="3" width="19.8515625" style="0" customWidth="1"/>
    <col min="4" max="4" width="13.8515625" style="0" customWidth="1"/>
  </cols>
  <sheetData>
    <row r="1" ht="26.25">
      <c r="A1" s="74" t="s">
        <v>90</v>
      </c>
    </row>
    <row r="2" ht="15.75" thickBot="1"/>
    <row r="3" spans="1:5" ht="15.75" thickBot="1">
      <c r="A3" s="12"/>
      <c r="B3" s="12"/>
      <c r="C3" s="10" t="s">
        <v>3</v>
      </c>
      <c r="D3" s="29" t="s">
        <v>1</v>
      </c>
      <c r="E3" s="34" t="s">
        <v>20</v>
      </c>
    </row>
    <row r="4" spans="1:5" ht="15.75" thickBot="1">
      <c r="A4" s="14" t="s">
        <v>2</v>
      </c>
      <c r="B4" s="15" t="s">
        <v>0</v>
      </c>
      <c r="C4" s="11" t="s">
        <v>4</v>
      </c>
      <c r="D4" s="30" t="s">
        <v>5</v>
      </c>
      <c r="E4" s="35"/>
    </row>
    <row r="5" spans="1:5" ht="15">
      <c r="A5" s="13">
        <v>1989</v>
      </c>
      <c r="B5" s="9">
        <v>510</v>
      </c>
      <c r="C5" s="9">
        <v>34000</v>
      </c>
      <c r="D5" s="31">
        <v>43000</v>
      </c>
      <c r="E5" s="36">
        <f>D5/C5</f>
        <v>1.2647058823529411</v>
      </c>
    </row>
    <row r="6" spans="1:5" ht="15">
      <c r="A6" s="4">
        <v>1990</v>
      </c>
      <c r="B6" s="2">
        <v>508</v>
      </c>
      <c r="C6" s="2">
        <v>35000</v>
      </c>
      <c r="D6" s="32">
        <v>42000</v>
      </c>
      <c r="E6" s="36">
        <f aca="true" t="shared" si="0" ref="E6:E24">D6/C6</f>
        <v>1.2</v>
      </c>
    </row>
    <row r="7" spans="1:5" ht="15">
      <c r="A7" s="4">
        <v>1991</v>
      </c>
      <c r="B7" s="2">
        <v>505</v>
      </c>
      <c r="C7" s="2">
        <v>35000</v>
      </c>
      <c r="D7" s="32">
        <v>39000</v>
      </c>
      <c r="E7" s="36">
        <f t="shared" si="0"/>
        <v>1.1142857142857143</v>
      </c>
    </row>
    <row r="8" spans="1:6" ht="15">
      <c r="A8" s="4">
        <v>1992</v>
      </c>
      <c r="B8" s="2">
        <v>500</v>
      </c>
      <c r="C8" s="2">
        <v>35000</v>
      </c>
      <c r="D8" s="32">
        <v>37000</v>
      </c>
      <c r="E8" s="36">
        <f t="shared" si="0"/>
        <v>1.0571428571428572</v>
      </c>
      <c r="F8" s="8"/>
    </row>
    <row r="9" spans="1:5" ht="15">
      <c r="A9" s="4">
        <v>1993</v>
      </c>
      <c r="B9" s="2">
        <v>492</v>
      </c>
      <c r="C9" s="2">
        <v>34012</v>
      </c>
      <c r="D9" s="32">
        <v>34444</v>
      </c>
      <c r="E9" s="36">
        <f t="shared" si="0"/>
        <v>1.0127013995060568</v>
      </c>
    </row>
    <row r="10" spans="1:5" ht="15">
      <c r="A10" s="4">
        <v>1994</v>
      </c>
      <c r="B10" s="2">
        <v>485</v>
      </c>
      <c r="C10" s="2">
        <v>35150</v>
      </c>
      <c r="D10" s="32">
        <v>34964</v>
      </c>
      <c r="E10" s="36">
        <f t="shared" si="0"/>
        <v>0.9947083926031295</v>
      </c>
    </row>
    <row r="11" spans="1:7" ht="15">
      <c r="A11" s="4">
        <v>1995</v>
      </c>
      <c r="B11" s="2">
        <v>475</v>
      </c>
      <c r="C11" s="2">
        <v>36182</v>
      </c>
      <c r="D11" s="32">
        <v>35464</v>
      </c>
      <c r="E11" s="36">
        <f t="shared" si="0"/>
        <v>0.9801558786136753</v>
      </c>
      <c r="G11" s="8"/>
    </row>
    <row r="12" spans="1:5" ht="15">
      <c r="A12" s="4">
        <v>1996</v>
      </c>
      <c r="B12" s="2">
        <v>457</v>
      </c>
      <c r="C12" s="2">
        <v>32472</v>
      </c>
      <c r="D12" s="32">
        <v>32427</v>
      </c>
      <c r="E12" s="36">
        <f t="shared" si="0"/>
        <v>0.9986141906873615</v>
      </c>
    </row>
    <row r="13" spans="1:5" ht="15">
      <c r="A13" s="4">
        <v>1997</v>
      </c>
      <c r="B13" s="2">
        <v>433</v>
      </c>
      <c r="C13" s="2">
        <v>31957</v>
      </c>
      <c r="D13" s="32">
        <v>31131</v>
      </c>
      <c r="E13" s="36">
        <f t="shared" si="0"/>
        <v>0.9741527677817067</v>
      </c>
    </row>
    <row r="14" spans="1:5" ht="15">
      <c r="A14" s="4">
        <v>1998</v>
      </c>
      <c r="B14" s="2">
        <v>423</v>
      </c>
      <c r="C14" s="2">
        <v>32585</v>
      </c>
      <c r="D14" s="32">
        <v>31607</v>
      </c>
      <c r="E14" s="36">
        <f t="shared" si="0"/>
        <v>0.9699861899647076</v>
      </c>
    </row>
    <row r="15" spans="1:5" ht="15">
      <c r="A15" s="4">
        <v>1999</v>
      </c>
      <c r="B15" s="2">
        <v>407</v>
      </c>
      <c r="C15" s="2">
        <v>32703</v>
      </c>
      <c r="D15" s="32">
        <v>31014</v>
      </c>
      <c r="E15" s="36">
        <f t="shared" si="0"/>
        <v>0.9483533620768737</v>
      </c>
    </row>
    <row r="16" spans="1:5" ht="15">
      <c r="A16" s="4">
        <v>2000</v>
      </c>
      <c r="B16" s="2">
        <v>388</v>
      </c>
      <c r="C16" s="2">
        <v>32851</v>
      </c>
      <c r="D16" s="32">
        <v>31031</v>
      </c>
      <c r="E16" s="36">
        <f t="shared" si="0"/>
        <v>0.9445983379501385</v>
      </c>
    </row>
    <row r="17" spans="1:5" ht="15">
      <c r="A17" s="4">
        <v>2001</v>
      </c>
      <c r="B17" s="2">
        <v>370</v>
      </c>
      <c r="C17" s="2">
        <v>31029</v>
      </c>
      <c r="D17" s="32">
        <v>29816</v>
      </c>
      <c r="E17" s="36">
        <f t="shared" si="0"/>
        <v>0.9609075381095105</v>
      </c>
    </row>
    <row r="18" spans="1:5" ht="15">
      <c r="A18" s="4">
        <v>2002</v>
      </c>
      <c r="B18" s="2">
        <v>361</v>
      </c>
      <c r="C18" s="2">
        <v>31103</v>
      </c>
      <c r="D18" s="32">
        <v>29639</v>
      </c>
      <c r="E18" s="36">
        <f t="shared" si="0"/>
        <v>0.9529305854740701</v>
      </c>
    </row>
    <row r="19" spans="1:5" ht="15">
      <c r="A19" s="4">
        <v>2003</v>
      </c>
      <c r="B19" s="2">
        <v>347</v>
      </c>
      <c r="C19" s="2">
        <v>29435</v>
      </c>
      <c r="D19" s="32">
        <v>28056</v>
      </c>
      <c r="E19" s="36">
        <f t="shared" si="0"/>
        <v>0.9531510107015457</v>
      </c>
    </row>
    <row r="20" spans="1:5" ht="15">
      <c r="A20" s="4">
        <v>2004</v>
      </c>
      <c r="B20" s="2">
        <v>348</v>
      </c>
      <c r="C20" s="2">
        <v>29294</v>
      </c>
      <c r="D20" s="32">
        <v>27550</v>
      </c>
      <c r="E20" s="36">
        <f t="shared" si="0"/>
        <v>0.9404656243599372</v>
      </c>
    </row>
    <row r="21" spans="1:5" ht="15">
      <c r="A21" s="4">
        <v>2005</v>
      </c>
      <c r="B21" s="5">
        <v>347</v>
      </c>
      <c r="C21" s="2">
        <v>27500</v>
      </c>
      <c r="D21" s="32">
        <v>26000</v>
      </c>
      <c r="E21" s="36">
        <f t="shared" si="0"/>
        <v>0.9454545454545454</v>
      </c>
    </row>
    <row r="22" spans="1:5" ht="15">
      <c r="A22" s="4">
        <v>2006</v>
      </c>
      <c r="B22" s="5">
        <v>325</v>
      </c>
      <c r="C22" s="2">
        <v>27000</v>
      </c>
      <c r="D22" s="32">
        <v>25500</v>
      </c>
      <c r="E22" s="36">
        <f t="shared" si="0"/>
        <v>0.9444444444444444</v>
      </c>
    </row>
    <row r="23" spans="1:5" ht="15">
      <c r="A23" s="4">
        <v>2007</v>
      </c>
      <c r="B23" s="5">
        <v>303</v>
      </c>
      <c r="C23" s="2">
        <v>27500</v>
      </c>
      <c r="D23" s="32">
        <v>25500</v>
      </c>
      <c r="E23" s="36">
        <f t="shared" si="0"/>
        <v>0.9272727272727272</v>
      </c>
    </row>
    <row r="24" spans="1:5" ht="15.75" thickBot="1">
      <c r="A24" s="17">
        <v>2008</v>
      </c>
      <c r="B24" s="18">
        <v>280</v>
      </c>
      <c r="C24" s="19">
        <v>25500</v>
      </c>
      <c r="D24" s="33">
        <v>24500</v>
      </c>
      <c r="E24" s="37">
        <f t="shared" si="0"/>
        <v>0.9607843137254902</v>
      </c>
    </row>
    <row r="25" spans="1:3" ht="15">
      <c r="A25" s="21">
        <v>2009</v>
      </c>
      <c r="B25" s="22"/>
      <c r="C25" s="23">
        <v>25000</v>
      </c>
    </row>
    <row r="26" spans="1:3" ht="15">
      <c r="A26" s="24">
        <v>2010</v>
      </c>
      <c r="B26" s="20"/>
      <c r="C26" s="25">
        <v>24500</v>
      </c>
    </row>
    <row r="27" spans="1:3" ht="15">
      <c r="A27" s="24">
        <v>2011</v>
      </c>
      <c r="B27" s="20"/>
      <c r="C27" s="25">
        <v>24000</v>
      </c>
    </row>
    <row r="28" spans="1:3" ht="15">
      <c r="A28" s="24">
        <v>2012</v>
      </c>
      <c r="B28" s="20"/>
      <c r="C28" s="25">
        <v>23500</v>
      </c>
    </row>
    <row r="29" spans="1:3" ht="15.75" thickBot="1">
      <c r="A29" s="26">
        <v>2013</v>
      </c>
      <c r="B29" s="27"/>
      <c r="C29" s="28">
        <v>23000</v>
      </c>
    </row>
    <row r="32" ht="15">
      <c r="A32" s="7"/>
    </row>
    <row r="33" spans="1:6" ht="15">
      <c r="A33" s="7" t="s">
        <v>6</v>
      </c>
      <c r="C33" t="s">
        <v>7</v>
      </c>
      <c r="F33" s="8">
        <f>510-280</f>
        <v>230</v>
      </c>
    </row>
    <row r="34" ht="15">
      <c r="A34" s="7"/>
    </row>
    <row r="35" spans="1:3" ht="15">
      <c r="A35" s="7" t="s">
        <v>8</v>
      </c>
      <c r="C35" t="s">
        <v>18</v>
      </c>
    </row>
    <row r="36" ht="15">
      <c r="A36" s="16"/>
    </row>
    <row r="37" spans="1:6" ht="15">
      <c r="A37" s="16" t="s">
        <v>9</v>
      </c>
      <c r="C37" t="s">
        <v>10</v>
      </c>
      <c r="F37" s="8">
        <v>1995</v>
      </c>
    </row>
    <row r="38" ht="15">
      <c r="A38" s="16"/>
    </row>
    <row r="39" spans="1:7" ht="15">
      <c r="A39" s="16" t="s">
        <v>11</v>
      </c>
      <c r="C39" t="s">
        <v>12</v>
      </c>
      <c r="F39" s="114">
        <v>23000</v>
      </c>
      <c r="G39" s="8" t="s">
        <v>77</v>
      </c>
    </row>
    <row r="40" spans="1:3" ht="15">
      <c r="A40" s="16"/>
      <c r="C40" t="s">
        <v>13</v>
      </c>
    </row>
    <row r="42" spans="1:3" ht="15">
      <c r="A42" s="16" t="s">
        <v>14</v>
      </c>
      <c r="C42" t="s">
        <v>15</v>
      </c>
    </row>
    <row r="44" spans="1:3" ht="15">
      <c r="A44" s="16" t="s">
        <v>16</v>
      </c>
      <c r="C44" t="s">
        <v>15</v>
      </c>
    </row>
    <row r="46" spans="1:3" ht="15">
      <c r="A46" s="16" t="s">
        <v>17</v>
      </c>
      <c r="C46" t="s">
        <v>19</v>
      </c>
    </row>
    <row r="48" spans="1:3" ht="15">
      <c r="A48" s="16" t="s">
        <v>21</v>
      </c>
      <c r="C48" t="s">
        <v>22</v>
      </c>
    </row>
    <row r="50" spans="1:3" ht="15">
      <c r="A50" s="16" t="s">
        <v>23</v>
      </c>
      <c r="C50" t="s">
        <v>24</v>
      </c>
    </row>
    <row r="52" spans="1:3" ht="15">
      <c r="A52" s="16" t="s">
        <v>25</v>
      </c>
      <c r="C52" t="s">
        <v>26</v>
      </c>
    </row>
    <row r="53" ht="15">
      <c r="C53" t="s">
        <v>27</v>
      </c>
    </row>
    <row r="54" ht="15">
      <c r="C54" t="s">
        <v>28</v>
      </c>
    </row>
    <row r="55" ht="15">
      <c r="C55" t="s">
        <v>140</v>
      </c>
    </row>
    <row r="56" ht="15">
      <c r="C56" t="s">
        <v>141</v>
      </c>
    </row>
    <row r="57" ht="15">
      <c r="C57" t="s">
        <v>142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1">
      <selection activeCell="J53" sqref="J53"/>
    </sheetView>
  </sheetViews>
  <sheetFormatPr defaultColWidth="9.140625" defaultRowHeight="15"/>
  <cols>
    <col min="2" max="2" width="12.421875" style="0" customWidth="1"/>
    <col min="11" max="11" width="10.7109375" style="0" customWidth="1"/>
  </cols>
  <sheetData>
    <row r="1" ht="26.25">
      <c r="A1" s="74" t="s">
        <v>89</v>
      </c>
    </row>
    <row r="3" spans="1:9" ht="15">
      <c r="A3" s="16" t="s">
        <v>29</v>
      </c>
      <c r="B3" t="s">
        <v>143</v>
      </c>
      <c r="I3" s="8"/>
    </row>
    <row r="4" spans="1:10" ht="15">
      <c r="A4" s="16"/>
      <c r="B4" t="s">
        <v>30</v>
      </c>
      <c r="G4" t="s">
        <v>31</v>
      </c>
      <c r="I4" s="38">
        <v>125</v>
      </c>
      <c r="J4" s="8" t="s">
        <v>153</v>
      </c>
    </row>
    <row r="5" spans="1:9" ht="15">
      <c r="A5" s="16"/>
      <c r="I5" s="8"/>
    </row>
    <row r="6" spans="1:10" ht="17.25">
      <c r="A6" s="16" t="s">
        <v>32</v>
      </c>
      <c r="B6" t="s">
        <v>33</v>
      </c>
      <c r="E6" t="s">
        <v>34</v>
      </c>
      <c r="I6" s="38">
        <v>105</v>
      </c>
      <c r="J6" s="8" t="s">
        <v>144</v>
      </c>
    </row>
    <row r="7" spans="1:9" ht="15">
      <c r="A7" s="16"/>
      <c r="I7" s="8"/>
    </row>
    <row r="8" spans="1:9" ht="15">
      <c r="A8" s="16" t="s">
        <v>35</v>
      </c>
      <c r="I8" s="8"/>
    </row>
    <row r="9" ht="15">
      <c r="I9" s="8"/>
    </row>
    <row r="10" ht="15">
      <c r="I10" s="8"/>
    </row>
    <row r="11" ht="15">
      <c r="I11" s="8"/>
    </row>
    <row r="12" ht="15">
      <c r="I12" s="8"/>
    </row>
    <row r="13" ht="15">
      <c r="I13" s="8"/>
    </row>
    <row r="14" ht="15">
      <c r="I14" s="8"/>
    </row>
    <row r="15" ht="15">
      <c r="I15" s="8"/>
    </row>
    <row r="16" ht="15">
      <c r="I16" s="8"/>
    </row>
    <row r="17" ht="15">
      <c r="I17" s="8"/>
    </row>
    <row r="18" ht="15">
      <c r="I18" s="8"/>
    </row>
    <row r="19" spans="1:9" ht="15">
      <c r="A19" s="16" t="s">
        <v>36</v>
      </c>
      <c r="B19" t="s">
        <v>37</v>
      </c>
      <c r="E19">
        <v>6.16</v>
      </c>
      <c r="I19" s="8"/>
    </row>
    <row r="20" spans="2:9" ht="15">
      <c r="B20" t="s">
        <v>38</v>
      </c>
      <c r="E20">
        <v>24.08</v>
      </c>
      <c r="I20" s="8"/>
    </row>
    <row r="21" spans="2:10" ht="17.25">
      <c r="B21" t="s">
        <v>39</v>
      </c>
      <c r="I21" s="8">
        <f>2*(E19+E20)</f>
        <v>60.48</v>
      </c>
      <c r="J21" s="8" t="s">
        <v>144</v>
      </c>
    </row>
    <row r="22" spans="9:10" ht="15">
      <c r="I22" s="8"/>
      <c r="J22" s="8"/>
    </row>
    <row r="23" spans="2:10" ht="15">
      <c r="B23" t="s">
        <v>152</v>
      </c>
      <c r="I23" s="8"/>
      <c r="J23" s="8"/>
    </row>
    <row r="24" ht="15">
      <c r="I24" s="8"/>
    </row>
    <row r="25" spans="2:8" ht="15">
      <c r="B25" s="5"/>
      <c r="C25" s="5" t="s">
        <v>145</v>
      </c>
      <c r="D25" s="5" t="s">
        <v>146</v>
      </c>
      <c r="E25" s="5" t="s">
        <v>147</v>
      </c>
      <c r="F25" s="5" t="s">
        <v>151</v>
      </c>
      <c r="G25" s="115"/>
      <c r="H25" s="5" t="s">
        <v>148</v>
      </c>
    </row>
    <row r="26" spans="2:8" ht="15">
      <c r="B26" s="5" t="s">
        <v>162</v>
      </c>
      <c r="C26" s="5">
        <v>6</v>
      </c>
      <c r="D26" s="5">
        <v>5</v>
      </c>
      <c r="E26" s="5">
        <v>1.12</v>
      </c>
      <c r="F26" s="5">
        <f>0.5*(C26+D26)*E26</f>
        <v>6.16</v>
      </c>
      <c r="G26" s="5"/>
      <c r="H26" s="5">
        <f>F26*2</f>
        <v>12.32</v>
      </c>
    </row>
    <row r="27" spans="2:8" ht="15">
      <c r="B27" s="5" t="s">
        <v>163</v>
      </c>
      <c r="C27" s="5">
        <v>22</v>
      </c>
      <c r="D27" s="5">
        <v>21</v>
      </c>
      <c r="E27" s="5">
        <v>1.12</v>
      </c>
      <c r="F27" s="5">
        <f>0.5*(C27+D27)*E27</f>
        <v>24.080000000000002</v>
      </c>
      <c r="G27" s="5"/>
      <c r="H27" s="5">
        <f>F27*2</f>
        <v>48.160000000000004</v>
      </c>
    </row>
    <row r="28" spans="2:10" ht="17.25">
      <c r="B28" s="5" t="s">
        <v>149</v>
      </c>
      <c r="C28" s="5"/>
      <c r="D28" s="5"/>
      <c r="E28" s="5"/>
      <c r="F28" s="5"/>
      <c r="G28" s="5"/>
      <c r="H28" s="5">
        <f>SUM(H26:H27)</f>
        <v>60.480000000000004</v>
      </c>
      <c r="I28" s="8">
        <v>60.48</v>
      </c>
      <c r="J28" s="8" t="s">
        <v>144</v>
      </c>
    </row>
    <row r="29" ht="15">
      <c r="A29" s="16" t="s">
        <v>40</v>
      </c>
    </row>
    <row r="31" spans="2:6" ht="15">
      <c r="B31" s="5" t="s">
        <v>160</v>
      </c>
      <c r="C31" s="5" t="s">
        <v>155</v>
      </c>
      <c r="D31" s="5"/>
      <c r="E31" s="5">
        <f>0.1*H28</f>
        <v>6.048000000000001</v>
      </c>
      <c r="F31" s="76"/>
    </row>
    <row r="32" spans="1:6" ht="15">
      <c r="A32" s="16"/>
      <c r="B32" s="5" t="s">
        <v>161</v>
      </c>
      <c r="C32" s="5" t="s">
        <v>156</v>
      </c>
      <c r="D32" s="5"/>
      <c r="E32" s="5">
        <f>0.1*I6</f>
        <v>10.5</v>
      </c>
      <c r="F32" s="76"/>
    </row>
    <row r="33" spans="2:10" ht="17.25">
      <c r="B33" s="5" t="s">
        <v>150</v>
      </c>
      <c r="C33" s="5"/>
      <c r="D33" s="5"/>
      <c r="E33" s="5">
        <f>SUM(E31:E32)</f>
        <v>16.548000000000002</v>
      </c>
      <c r="F33" s="76"/>
      <c r="I33" s="8">
        <v>16.55</v>
      </c>
      <c r="J33" s="8" t="s">
        <v>154</v>
      </c>
    </row>
    <row r="34" spans="2:6" ht="15">
      <c r="B34" s="76"/>
      <c r="C34" s="76"/>
      <c r="D34" s="76"/>
      <c r="E34" s="76"/>
      <c r="F34" s="76"/>
    </row>
    <row r="35" spans="2:6" ht="15.75" thickBot="1">
      <c r="B35" s="76"/>
      <c r="C35" s="76"/>
      <c r="D35" s="76"/>
      <c r="E35" s="76"/>
      <c r="F35" s="76"/>
    </row>
    <row r="36" spans="3:9" ht="15.75" thickBot="1">
      <c r="C36" s="41" t="s">
        <v>42</v>
      </c>
      <c r="D36" s="42" t="s">
        <v>43</v>
      </c>
      <c r="E36" s="43" t="s">
        <v>44</v>
      </c>
      <c r="I36" s="8"/>
    </row>
    <row r="37" spans="2:9" ht="15">
      <c r="B37" s="44" t="s">
        <v>45</v>
      </c>
      <c r="C37" s="45">
        <v>22</v>
      </c>
      <c r="D37" s="45">
        <v>22</v>
      </c>
      <c r="E37" s="52">
        <v>21</v>
      </c>
      <c r="I37" s="8"/>
    </row>
    <row r="38" spans="2:9" ht="15">
      <c r="B38" s="46" t="s">
        <v>46</v>
      </c>
      <c r="C38" s="5">
        <v>6</v>
      </c>
      <c r="D38" s="5">
        <v>6</v>
      </c>
      <c r="E38" s="53">
        <v>6.3</v>
      </c>
      <c r="I38" s="8"/>
    </row>
    <row r="39" spans="2:9" ht="15">
      <c r="B39" s="46" t="s">
        <v>47</v>
      </c>
      <c r="C39" s="5">
        <v>21</v>
      </c>
      <c r="D39" s="5">
        <v>21</v>
      </c>
      <c r="E39" s="53">
        <v>20</v>
      </c>
      <c r="I39" s="8"/>
    </row>
    <row r="40" spans="2:9" ht="15">
      <c r="B40" s="46" t="s">
        <v>48</v>
      </c>
      <c r="C40" s="5">
        <v>5</v>
      </c>
      <c r="D40" s="5">
        <v>5</v>
      </c>
      <c r="E40" s="53">
        <v>5.3</v>
      </c>
      <c r="I40" s="8"/>
    </row>
    <row r="41" spans="2:9" ht="15">
      <c r="B41" s="46" t="s">
        <v>49</v>
      </c>
      <c r="C41" s="5">
        <v>1</v>
      </c>
      <c r="D41" s="5">
        <v>0.8</v>
      </c>
      <c r="E41" s="53">
        <v>1</v>
      </c>
      <c r="I41" s="8"/>
    </row>
    <row r="42" spans="2:9" ht="15">
      <c r="B42" s="46"/>
      <c r="C42" s="5"/>
      <c r="D42" s="5"/>
      <c r="E42" s="53"/>
      <c r="I42" s="8"/>
    </row>
    <row r="43" spans="2:9" ht="17.25">
      <c r="B43" s="46" t="s">
        <v>159</v>
      </c>
      <c r="C43" s="49">
        <f>(C41*(C37*C38)+(C39*C40)+(SQRT(C37*C38*C39*C40)))/3</f>
        <v>118.24283374069717</v>
      </c>
      <c r="D43" s="117">
        <f>(D41*((D37*D38)+(D39*D40)+(SQRT(D37*D38*D39*D40))))/3</f>
        <v>94.59426699255773</v>
      </c>
      <c r="E43" s="54">
        <f>(E41*((E37*E38)+(E39*E40)+(SQRT(E37*E38*E39*E40))))/3</f>
        <v>118.90737543697405</v>
      </c>
      <c r="I43" s="8"/>
    </row>
    <row r="44" spans="2:9" ht="15.75" thickBot="1">
      <c r="B44" s="47" t="s">
        <v>50</v>
      </c>
      <c r="C44" s="6"/>
      <c r="D44" s="51">
        <f>D43*1000</f>
        <v>94594.26699255774</v>
      </c>
      <c r="E44" s="48"/>
      <c r="I44" s="8"/>
    </row>
    <row r="45" ht="15">
      <c r="I45" s="8"/>
    </row>
    <row r="46" spans="1:10" ht="17.25">
      <c r="A46" s="16" t="s">
        <v>41</v>
      </c>
      <c r="B46" s="50" t="s">
        <v>51</v>
      </c>
      <c r="I46" s="38">
        <v>118.3</v>
      </c>
      <c r="J46" s="8" t="s">
        <v>154</v>
      </c>
    </row>
    <row r="47" spans="1:9" ht="15">
      <c r="A47" s="16"/>
      <c r="I47" s="8"/>
    </row>
    <row r="48" spans="1:10" ht="15">
      <c r="A48" s="16" t="s">
        <v>52</v>
      </c>
      <c r="B48" s="50" t="s">
        <v>53</v>
      </c>
      <c r="I48" s="116">
        <v>94594</v>
      </c>
      <c r="J48" s="8" t="s">
        <v>158</v>
      </c>
    </row>
    <row r="49" spans="1:9" ht="15">
      <c r="A49" s="16"/>
      <c r="B49" s="50"/>
      <c r="I49" s="55"/>
    </row>
    <row r="50" spans="1:9" ht="15">
      <c r="A50" s="16" t="s">
        <v>54</v>
      </c>
      <c r="B50" s="8" t="s">
        <v>157</v>
      </c>
      <c r="C50" s="8"/>
      <c r="D50" s="8"/>
      <c r="E50" s="8"/>
      <c r="F50" s="8"/>
      <c r="G50" s="8"/>
      <c r="H50" s="8"/>
      <c r="I50" s="39"/>
    </row>
    <row r="51" spans="2:8" ht="15">
      <c r="B51" s="8" t="s">
        <v>55</v>
      </c>
      <c r="C51" s="8"/>
      <c r="D51" s="8"/>
      <c r="E51" s="8"/>
      <c r="F51" s="8"/>
      <c r="G51" s="8"/>
      <c r="H51" s="8"/>
    </row>
    <row r="52" spans="2:8" ht="15">
      <c r="B52" s="8" t="s">
        <v>56</v>
      </c>
      <c r="C52" s="8"/>
      <c r="D52" s="8"/>
      <c r="E52" s="8"/>
      <c r="F52" s="8"/>
      <c r="G52" s="8"/>
      <c r="H52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37">
      <selection activeCell="F60" sqref="F60"/>
    </sheetView>
  </sheetViews>
  <sheetFormatPr defaultColWidth="9.140625" defaultRowHeight="15"/>
  <cols>
    <col min="4" max="4" width="11.140625" style="0" customWidth="1"/>
  </cols>
  <sheetData>
    <row r="1" ht="26.25">
      <c r="A1" s="74" t="s">
        <v>88</v>
      </c>
    </row>
    <row r="2" spans="1:13" ht="16.5" thickBot="1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15.75">
      <c r="A3" s="128"/>
      <c r="B3" s="130" t="s">
        <v>164</v>
      </c>
      <c r="C3" s="131" t="s">
        <v>165</v>
      </c>
      <c r="D3" s="131" t="s">
        <v>179</v>
      </c>
      <c r="E3" s="131" t="s">
        <v>180</v>
      </c>
      <c r="F3" s="131" t="s">
        <v>166</v>
      </c>
      <c r="G3" s="131" t="s">
        <v>167</v>
      </c>
      <c r="H3" s="131" t="s">
        <v>168</v>
      </c>
      <c r="I3" s="131" t="s">
        <v>169</v>
      </c>
      <c r="J3" s="131" t="s">
        <v>170</v>
      </c>
      <c r="K3" s="131" t="s">
        <v>171</v>
      </c>
      <c r="L3" s="131" t="s">
        <v>172</v>
      </c>
      <c r="M3" s="132" t="s">
        <v>173</v>
      </c>
    </row>
    <row r="4" spans="2:13" ht="15.75" thickBot="1">
      <c r="B4" s="118">
        <v>605</v>
      </c>
      <c r="C4" s="119">
        <v>876</v>
      </c>
      <c r="D4" s="122">
        <v>1265</v>
      </c>
      <c r="E4" s="119">
        <v>175</v>
      </c>
      <c r="F4" s="123">
        <v>167</v>
      </c>
      <c r="G4" s="119">
        <v>170</v>
      </c>
      <c r="H4" s="119">
        <v>170</v>
      </c>
      <c r="I4" s="119">
        <v>155</v>
      </c>
      <c r="J4" s="119">
        <v>276</v>
      </c>
      <c r="K4" s="119">
        <v>327</v>
      </c>
      <c r="L4" s="119">
        <v>539</v>
      </c>
      <c r="M4" s="120">
        <v>394</v>
      </c>
    </row>
    <row r="5" spans="2:13" ht="15"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9" ht="15">
      <c r="A6" s="16" t="s">
        <v>57</v>
      </c>
      <c r="B6" t="s">
        <v>58</v>
      </c>
      <c r="I6" s="125" t="s">
        <v>59</v>
      </c>
    </row>
    <row r="7" spans="1:9" ht="15">
      <c r="A7" s="16"/>
      <c r="B7" t="s">
        <v>60</v>
      </c>
      <c r="I7" s="124" t="s">
        <v>61</v>
      </c>
    </row>
    <row r="8" ht="15">
      <c r="A8" s="16"/>
    </row>
    <row r="9" spans="1:10" ht="15">
      <c r="A9" s="16" t="s">
        <v>62</v>
      </c>
      <c r="B9" t="s">
        <v>63</v>
      </c>
      <c r="G9">
        <f>605+876+1265+175+167+170+170+155+276+327+539+394</f>
        <v>5119</v>
      </c>
      <c r="I9" s="56">
        <f>G9/12</f>
        <v>426.5833333333333</v>
      </c>
      <c r="J9" s="8" t="s">
        <v>64</v>
      </c>
    </row>
    <row r="10" spans="1:10" ht="15">
      <c r="A10" s="16"/>
      <c r="B10" t="s">
        <v>174</v>
      </c>
      <c r="I10" s="56">
        <f>AVERAGE(B4:M4)</f>
        <v>426.5833333333333</v>
      </c>
      <c r="J10" s="8"/>
    </row>
    <row r="11" ht="15">
      <c r="A11" s="16"/>
    </row>
    <row r="12" spans="1:5" ht="15">
      <c r="A12" s="16" t="s">
        <v>65</v>
      </c>
      <c r="E12" s="59" t="s">
        <v>68</v>
      </c>
    </row>
    <row r="13" spans="1:5" ht="15">
      <c r="A13" s="60" t="s">
        <v>66</v>
      </c>
      <c r="B13" s="57" t="s">
        <v>2</v>
      </c>
      <c r="C13" s="57" t="s">
        <v>64</v>
      </c>
      <c r="E13" t="s">
        <v>70</v>
      </c>
    </row>
    <row r="14" spans="1:5" ht="15">
      <c r="A14" s="16"/>
      <c r="B14" s="57">
        <v>1998</v>
      </c>
      <c r="C14" s="58">
        <v>150</v>
      </c>
      <c r="E14">
        <v>126</v>
      </c>
    </row>
    <row r="15" spans="1:5" ht="15">
      <c r="A15" s="16"/>
      <c r="B15" s="57">
        <v>2005</v>
      </c>
      <c r="C15" s="58">
        <v>148</v>
      </c>
      <c r="E15">
        <v>126</v>
      </c>
    </row>
    <row r="16" spans="1:5" ht="15">
      <c r="A16" s="16"/>
      <c r="B16" s="57">
        <v>2000</v>
      </c>
      <c r="C16" s="58">
        <v>135</v>
      </c>
      <c r="E16">
        <v>126</v>
      </c>
    </row>
    <row r="17" spans="1:5" ht="15">
      <c r="A17" s="16"/>
      <c r="B17" s="57">
        <v>2004</v>
      </c>
      <c r="C17" s="58">
        <v>133</v>
      </c>
      <c r="E17">
        <v>126</v>
      </c>
    </row>
    <row r="18" spans="1:9" ht="15">
      <c r="A18" s="16"/>
      <c r="B18" s="57">
        <v>1999</v>
      </c>
      <c r="C18" s="61">
        <v>126</v>
      </c>
      <c r="D18" s="60" t="s">
        <v>67</v>
      </c>
      <c r="E18">
        <v>126</v>
      </c>
      <c r="G18" t="s">
        <v>178</v>
      </c>
      <c r="H18">
        <v>126</v>
      </c>
      <c r="I18" t="s">
        <v>64</v>
      </c>
    </row>
    <row r="19" spans="1:5" ht="15">
      <c r="A19" s="16"/>
      <c r="B19" s="57">
        <v>2001</v>
      </c>
      <c r="C19" s="58">
        <v>117</v>
      </c>
      <c r="E19">
        <v>126</v>
      </c>
    </row>
    <row r="20" spans="1:5" ht="15">
      <c r="A20" s="16"/>
      <c r="B20" s="57">
        <v>2002</v>
      </c>
      <c r="C20" s="58">
        <v>105</v>
      </c>
      <c r="E20">
        <v>126</v>
      </c>
    </row>
    <row r="21" spans="1:5" ht="15">
      <c r="A21" s="16"/>
      <c r="B21" s="57">
        <v>1997</v>
      </c>
      <c r="C21" s="58">
        <v>85</v>
      </c>
      <c r="E21">
        <v>126</v>
      </c>
    </row>
    <row r="22" spans="1:5" ht="15">
      <c r="A22" s="16"/>
      <c r="B22" s="57">
        <v>2003</v>
      </c>
      <c r="C22" s="58">
        <v>67</v>
      </c>
      <c r="E22">
        <v>126</v>
      </c>
    </row>
    <row r="23" spans="1:7" ht="15">
      <c r="A23" s="16"/>
      <c r="B23" s="127" t="s">
        <v>175</v>
      </c>
      <c r="C23" s="126"/>
      <c r="G23" s="8">
        <f>MEDIAN(C14:C22)</f>
        <v>126</v>
      </c>
    </row>
    <row r="24" spans="1:3" ht="15">
      <c r="A24" s="16"/>
      <c r="B24" s="7"/>
      <c r="C24" s="126"/>
    </row>
    <row r="25" ht="15">
      <c r="A25" s="16"/>
    </row>
    <row r="26" spans="1:2" ht="15">
      <c r="A26" s="16" t="s">
        <v>69</v>
      </c>
      <c r="B26" t="s">
        <v>72</v>
      </c>
    </row>
    <row r="27" ht="15">
      <c r="A27" s="60" t="s">
        <v>71</v>
      </c>
    </row>
    <row r="28" ht="15">
      <c r="A28" s="16"/>
    </row>
    <row r="45" spans="1:7" ht="15">
      <c r="A45" s="16" t="s">
        <v>73</v>
      </c>
      <c r="B45" t="s">
        <v>74</v>
      </c>
      <c r="C45">
        <v>126</v>
      </c>
      <c r="E45" t="s">
        <v>76</v>
      </c>
      <c r="F45" s="8">
        <f>(0.006*C46+0.1*C45)/0.8</f>
        <v>36.75</v>
      </c>
      <c r="G45" s="8" t="s">
        <v>77</v>
      </c>
    </row>
    <row r="46" spans="1:3" ht="15">
      <c r="A46" s="16"/>
      <c r="B46" t="s">
        <v>75</v>
      </c>
      <c r="C46">
        <v>2800</v>
      </c>
    </row>
    <row r="47" ht="15">
      <c r="A47" s="16"/>
    </row>
    <row r="48" ht="15">
      <c r="A48" s="16"/>
    </row>
    <row r="49" spans="1:2" ht="18.75">
      <c r="A49" s="16"/>
      <c r="B49" s="1" t="s">
        <v>78</v>
      </c>
    </row>
    <row r="50" ht="15">
      <c r="A50" s="16"/>
    </row>
    <row r="51" ht="15.75" thickBot="1">
      <c r="A51" s="16"/>
    </row>
    <row r="52" spans="1:16" ht="18.75">
      <c r="A52" s="16"/>
      <c r="B52" s="62" t="s">
        <v>85</v>
      </c>
      <c r="C52" s="63"/>
      <c r="D52" s="63"/>
      <c r="E52" s="70"/>
      <c r="F52" s="71">
        <v>100</v>
      </c>
      <c r="G52" s="64">
        <v>110</v>
      </c>
      <c r="H52" s="64">
        <v>120</v>
      </c>
      <c r="I52" s="64">
        <v>130</v>
      </c>
      <c r="J52" s="64">
        <v>140</v>
      </c>
      <c r="K52" s="64">
        <v>150</v>
      </c>
      <c r="L52" s="64">
        <v>160</v>
      </c>
      <c r="M52" s="64">
        <v>170</v>
      </c>
      <c r="N52" s="64">
        <v>180</v>
      </c>
      <c r="O52" s="64">
        <v>190</v>
      </c>
      <c r="P52" s="65">
        <v>200</v>
      </c>
    </row>
    <row r="53" spans="1:16" ht="16.5" thickBot="1">
      <c r="A53" s="16"/>
      <c r="B53" s="66" t="s">
        <v>79</v>
      </c>
      <c r="C53" s="67"/>
      <c r="D53" s="68"/>
      <c r="E53" s="69"/>
      <c r="F53" s="72">
        <f>(0.006*$C$46+0.1*F52)/0.8</f>
        <v>33.5</v>
      </c>
      <c r="G53" s="27">
        <f>(0.006*$C$46+0.1*G52)/0.8</f>
        <v>34.75</v>
      </c>
      <c r="H53" s="27">
        <f aca="true" t="shared" si="0" ref="H53:P53">(0.006*$C$46+0.1*H52)/0.8</f>
        <v>36</v>
      </c>
      <c r="I53" s="27">
        <f t="shared" si="0"/>
        <v>37.25</v>
      </c>
      <c r="J53" s="27">
        <f t="shared" si="0"/>
        <v>38.5</v>
      </c>
      <c r="K53" s="27">
        <f t="shared" si="0"/>
        <v>39.75</v>
      </c>
      <c r="L53" s="27">
        <f t="shared" si="0"/>
        <v>40.99999999999999</v>
      </c>
      <c r="M53" s="27">
        <f t="shared" si="0"/>
        <v>42.24999999999999</v>
      </c>
      <c r="N53" s="27">
        <f t="shared" si="0"/>
        <v>43.49999999999999</v>
      </c>
      <c r="O53" s="27">
        <f t="shared" si="0"/>
        <v>44.74999999999999</v>
      </c>
      <c r="P53" s="73">
        <f t="shared" si="0"/>
        <v>45.99999999999999</v>
      </c>
    </row>
    <row r="54" ht="15">
      <c r="A54" s="16"/>
    </row>
    <row r="55" spans="1:6" ht="15">
      <c r="A55" s="16" t="s">
        <v>80</v>
      </c>
      <c r="C55" s="40" t="s">
        <v>176</v>
      </c>
      <c r="F55" s="40">
        <f>(0.006*C46+0.1*100)/0.8</f>
        <v>33.5</v>
      </c>
    </row>
    <row r="56" ht="15">
      <c r="A56" s="16"/>
    </row>
    <row r="57" spans="1:3" ht="15">
      <c r="A57" s="16" t="s">
        <v>81</v>
      </c>
      <c r="C57" t="s">
        <v>177</v>
      </c>
    </row>
    <row r="58" ht="15">
      <c r="A58" s="16"/>
    </row>
    <row r="59" spans="1:3" ht="15">
      <c r="A59" s="16" t="s">
        <v>82</v>
      </c>
      <c r="C59" t="s">
        <v>83</v>
      </c>
    </row>
    <row r="60" ht="15">
      <c r="A60" s="16"/>
    </row>
    <row r="61" spans="1:3" ht="15">
      <c r="A61" s="16" t="s">
        <v>84</v>
      </c>
      <c r="C61" t="s">
        <v>86</v>
      </c>
    </row>
    <row r="62" ht="15">
      <c r="C62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Mathcad" shapeId="3960754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42">
      <selection activeCell="G66" sqref="G66"/>
    </sheetView>
  </sheetViews>
  <sheetFormatPr defaultColWidth="9.140625" defaultRowHeight="15"/>
  <cols>
    <col min="1" max="1" width="35.57421875" style="0" customWidth="1"/>
    <col min="2" max="2" width="15.7109375" style="0" customWidth="1"/>
    <col min="3" max="3" width="16.421875" style="0" customWidth="1"/>
    <col min="4" max="4" width="11.00390625" style="0" bestFit="1" customWidth="1"/>
  </cols>
  <sheetData>
    <row r="1" ht="26.25">
      <c r="A1" s="74" t="s">
        <v>91</v>
      </c>
    </row>
    <row r="3" spans="1:3" ht="18.75">
      <c r="A3" s="75" t="s">
        <v>92</v>
      </c>
      <c r="B3" s="76"/>
      <c r="C3" s="76"/>
    </row>
    <row r="4" spans="1:3" ht="18.75">
      <c r="A4" s="75"/>
      <c r="B4" s="76"/>
      <c r="C4" s="76"/>
    </row>
    <row r="5" spans="1:3" ht="15.75" thickBot="1">
      <c r="A5" s="76"/>
      <c r="B5" s="76"/>
      <c r="C5" s="76"/>
    </row>
    <row r="6" spans="1:8" ht="15">
      <c r="A6" s="77" t="s">
        <v>93</v>
      </c>
      <c r="B6" s="78">
        <v>18</v>
      </c>
      <c r="C6" s="84">
        <v>20</v>
      </c>
      <c r="D6" s="87">
        <v>22</v>
      </c>
      <c r="E6" s="45">
        <v>24</v>
      </c>
      <c r="F6" s="96">
        <v>26</v>
      </c>
      <c r="G6" s="45">
        <v>28</v>
      </c>
      <c r="H6" s="88">
        <v>30</v>
      </c>
    </row>
    <row r="7" spans="1:8" ht="15">
      <c r="A7" s="79" t="s">
        <v>94</v>
      </c>
      <c r="B7" s="2">
        <v>90000</v>
      </c>
      <c r="C7" s="32">
        <v>90000</v>
      </c>
      <c r="D7" s="89">
        <v>90000</v>
      </c>
      <c r="E7" s="2">
        <v>90000</v>
      </c>
      <c r="F7" s="2">
        <v>90000</v>
      </c>
      <c r="G7" s="2">
        <v>90000</v>
      </c>
      <c r="H7" s="3">
        <v>90000</v>
      </c>
    </row>
    <row r="8" spans="1:8" ht="15">
      <c r="A8" s="79" t="s">
        <v>95</v>
      </c>
      <c r="B8" s="2">
        <v>130</v>
      </c>
      <c r="C8" s="32">
        <v>130</v>
      </c>
      <c r="D8" s="89">
        <v>130</v>
      </c>
      <c r="E8" s="2">
        <v>130</v>
      </c>
      <c r="F8" s="2">
        <v>130</v>
      </c>
      <c r="G8" s="2">
        <v>130</v>
      </c>
      <c r="H8" s="3">
        <v>130</v>
      </c>
    </row>
    <row r="9" spans="1:8" ht="15">
      <c r="A9" s="79" t="s">
        <v>96</v>
      </c>
      <c r="B9" s="80">
        <f>B8*60*60</f>
        <v>468000</v>
      </c>
      <c r="C9" s="32">
        <f aca="true" t="shared" si="0" ref="C9:H9">B9</f>
        <v>468000</v>
      </c>
      <c r="D9" s="89">
        <f t="shared" si="0"/>
        <v>468000</v>
      </c>
      <c r="E9" s="2">
        <f t="shared" si="0"/>
        <v>468000</v>
      </c>
      <c r="F9" s="2">
        <f t="shared" si="0"/>
        <v>468000</v>
      </c>
      <c r="G9" s="2">
        <f t="shared" si="0"/>
        <v>468000</v>
      </c>
      <c r="H9" s="3">
        <f t="shared" si="0"/>
        <v>468000</v>
      </c>
    </row>
    <row r="10" spans="1:8" ht="15">
      <c r="A10" s="79" t="s">
        <v>97</v>
      </c>
      <c r="B10" s="80">
        <f aca="true" t="shared" si="1" ref="B10:H11">B9/B6</f>
        <v>26000</v>
      </c>
      <c r="C10" s="32">
        <f t="shared" si="1"/>
        <v>23400</v>
      </c>
      <c r="D10" s="90">
        <f t="shared" si="1"/>
        <v>21272.727272727272</v>
      </c>
      <c r="E10" s="86">
        <f t="shared" si="1"/>
        <v>19500</v>
      </c>
      <c r="F10" s="86">
        <f t="shared" si="1"/>
        <v>18000</v>
      </c>
      <c r="G10" s="86">
        <f t="shared" si="1"/>
        <v>16714.285714285714</v>
      </c>
      <c r="H10" s="91">
        <f t="shared" si="1"/>
        <v>15600</v>
      </c>
    </row>
    <row r="11" spans="1:8" ht="15.75" thickBot="1">
      <c r="A11" s="81" t="s">
        <v>98</v>
      </c>
      <c r="B11" s="82">
        <f t="shared" si="1"/>
        <v>0.28888888888888886</v>
      </c>
      <c r="C11" s="85">
        <f t="shared" si="1"/>
        <v>0.26</v>
      </c>
      <c r="D11" s="92">
        <f t="shared" si="1"/>
        <v>0.23636363636363636</v>
      </c>
      <c r="E11" s="93">
        <f t="shared" si="1"/>
        <v>0.21666666666666667</v>
      </c>
      <c r="F11" s="94">
        <f t="shared" si="1"/>
        <v>0.2</v>
      </c>
      <c r="G11" s="93">
        <f t="shared" si="1"/>
        <v>0.18571428571428572</v>
      </c>
      <c r="H11" s="83">
        <f t="shared" si="1"/>
        <v>0.17333333333333334</v>
      </c>
    </row>
    <row r="13" spans="1:2" ht="15">
      <c r="A13" s="95" t="s">
        <v>99</v>
      </c>
      <c r="B13" t="s">
        <v>100</v>
      </c>
    </row>
    <row r="14" ht="15">
      <c r="A14" s="95"/>
    </row>
    <row r="15" spans="1:2" ht="15">
      <c r="A15" s="38" t="s">
        <v>101</v>
      </c>
      <c r="B15" t="s">
        <v>103</v>
      </c>
    </row>
    <row r="17" spans="1:2" ht="15">
      <c r="A17" s="38" t="s">
        <v>102</v>
      </c>
      <c r="B17" t="s">
        <v>117</v>
      </c>
    </row>
    <row r="18" ht="15.75" thickBot="1">
      <c r="A18" s="38"/>
    </row>
    <row r="19" spans="1:2" ht="15">
      <c r="A19" s="38" t="s">
        <v>104</v>
      </c>
      <c r="B19" s="88">
        <v>30</v>
      </c>
    </row>
    <row r="20" ht="15">
      <c r="B20" s="3">
        <v>90000</v>
      </c>
    </row>
    <row r="21" spans="2:4" ht="15">
      <c r="B21" s="97">
        <v>147</v>
      </c>
      <c r="D21" t="s">
        <v>181</v>
      </c>
    </row>
    <row r="22" spans="2:4" ht="15">
      <c r="B22" s="3">
        <f>B21*60*60</f>
        <v>529200</v>
      </c>
      <c r="D22" t="s">
        <v>182</v>
      </c>
    </row>
    <row r="23" ht="15">
      <c r="B23" s="91">
        <f>B22/B19</f>
        <v>17640</v>
      </c>
    </row>
    <row r="24" ht="15.75" thickBot="1">
      <c r="B24" s="83">
        <f>B23/B20</f>
        <v>0.196</v>
      </c>
    </row>
    <row r="26" spans="1:6" ht="17.25">
      <c r="A26" s="38" t="s">
        <v>105</v>
      </c>
      <c r="B26" t="s">
        <v>106</v>
      </c>
      <c r="D26">
        <f>4*1000*1000*1000</f>
        <v>4000000000</v>
      </c>
      <c r="E26" t="s">
        <v>183</v>
      </c>
      <c r="F26" t="s">
        <v>107</v>
      </c>
    </row>
    <row r="27" spans="2:6" ht="15">
      <c r="B27" t="s">
        <v>108</v>
      </c>
      <c r="E27">
        <f>14*24*60*60</f>
        <v>1209600</v>
      </c>
      <c r="F27" t="s">
        <v>109</v>
      </c>
    </row>
    <row r="29" spans="2:6" ht="15">
      <c r="B29" t="s">
        <v>116</v>
      </c>
      <c r="E29" s="98">
        <f>D26/E27</f>
        <v>3306.878306878307</v>
      </c>
      <c r="F29" s="8" t="s">
        <v>107</v>
      </c>
    </row>
    <row r="31" spans="1:4" ht="15">
      <c r="A31" s="38" t="s">
        <v>110</v>
      </c>
      <c r="B31" t="s">
        <v>111</v>
      </c>
      <c r="C31" t="s">
        <v>112</v>
      </c>
      <c r="D31" s="99">
        <f>3307/130</f>
        <v>25.43846153846154</v>
      </c>
    </row>
    <row r="32" spans="2:4" ht="15">
      <c r="B32" t="s">
        <v>113</v>
      </c>
      <c r="D32" s="99">
        <v>4</v>
      </c>
    </row>
    <row r="33" spans="2:5" ht="15">
      <c r="B33" t="s">
        <v>114</v>
      </c>
      <c r="D33" s="100">
        <f>SUM(D31:D32)</f>
        <v>29.43846153846154</v>
      </c>
      <c r="E33" s="8" t="s">
        <v>115</v>
      </c>
    </row>
    <row r="35" spans="1:3" ht="18.75">
      <c r="A35" s="1" t="s">
        <v>118</v>
      </c>
      <c r="B35" s="1"/>
      <c r="C35" s="1"/>
    </row>
    <row r="36" ht="15.75" thickBot="1">
      <c r="A36" s="40"/>
    </row>
    <row r="37" spans="2:3" ht="15.75" thickBot="1">
      <c r="B37" s="101" t="s">
        <v>119</v>
      </c>
      <c r="C37" s="102" t="s">
        <v>120</v>
      </c>
    </row>
    <row r="38" spans="1:3" ht="15.75" thickBot="1">
      <c r="A38" s="103" t="s">
        <v>121</v>
      </c>
      <c r="B38" s="104" t="s">
        <v>122</v>
      </c>
      <c r="C38" s="105" t="s">
        <v>123</v>
      </c>
    </row>
    <row r="39" spans="1:3" ht="15">
      <c r="A39" s="106">
        <v>0</v>
      </c>
      <c r="B39" s="107">
        <v>99.8</v>
      </c>
      <c r="C39" s="113">
        <f aca="true" t="shared" si="2" ref="C39:C49">((25*1000)*B39)/(1000*1000)</f>
        <v>2.495</v>
      </c>
    </row>
    <row r="40" spans="1:3" ht="15">
      <c r="A40" s="108">
        <v>2</v>
      </c>
      <c r="B40" s="109">
        <v>116.7</v>
      </c>
      <c r="C40" s="113">
        <f t="shared" si="2"/>
        <v>2.9175</v>
      </c>
    </row>
    <row r="41" spans="1:3" ht="15">
      <c r="A41" s="108">
        <v>4</v>
      </c>
      <c r="B41" s="109">
        <v>136.6</v>
      </c>
      <c r="C41" s="113">
        <f t="shared" si="2"/>
        <v>3.415</v>
      </c>
    </row>
    <row r="42" spans="1:3" ht="15">
      <c r="A42" s="108">
        <v>6</v>
      </c>
      <c r="B42" s="109">
        <v>159.8</v>
      </c>
      <c r="C42" s="113">
        <f t="shared" si="2"/>
        <v>3.9950000000000006</v>
      </c>
    </row>
    <row r="43" spans="1:3" ht="15">
      <c r="A43" s="108">
        <v>8</v>
      </c>
      <c r="B43" s="109">
        <v>186.9</v>
      </c>
      <c r="C43" s="113">
        <f t="shared" si="2"/>
        <v>4.6725</v>
      </c>
    </row>
    <row r="44" spans="1:3" ht="15">
      <c r="A44" s="108">
        <v>10</v>
      </c>
      <c r="B44" s="109">
        <v>218.7</v>
      </c>
      <c r="C44" s="113">
        <f t="shared" si="2"/>
        <v>5.4675</v>
      </c>
    </row>
    <row r="45" spans="1:3" ht="15">
      <c r="A45" s="108">
        <v>12</v>
      </c>
      <c r="B45" s="109">
        <v>255.9</v>
      </c>
      <c r="C45" s="112">
        <f t="shared" si="2"/>
        <v>6.3975</v>
      </c>
    </row>
    <row r="46" spans="1:3" ht="15">
      <c r="A46" s="108">
        <v>14</v>
      </c>
      <c r="B46" s="109">
        <v>299.4</v>
      </c>
      <c r="C46" s="112">
        <f t="shared" si="2"/>
        <v>7.484999999999999</v>
      </c>
    </row>
    <row r="47" spans="1:3" ht="15">
      <c r="A47" s="108">
        <v>16</v>
      </c>
      <c r="B47" s="109">
        <v>350.3</v>
      </c>
      <c r="C47" s="112">
        <f t="shared" si="2"/>
        <v>8.7575</v>
      </c>
    </row>
    <row r="48" spans="1:3" ht="15">
      <c r="A48" s="108">
        <v>18</v>
      </c>
      <c r="B48" s="109">
        <v>409.8</v>
      </c>
      <c r="C48" s="112">
        <f t="shared" si="2"/>
        <v>10.245</v>
      </c>
    </row>
    <row r="49" spans="1:3" ht="15.75" thickBot="1">
      <c r="A49" s="110">
        <v>20</v>
      </c>
      <c r="B49" s="111">
        <v>479.5</v>
      </c>
      <c r="C49" s="112">
        <f t="shared" si="2"/>
        <v>11.9875</v>
      </c>
    </row>
    <row r="51" spans="1:4" ht="15">
      <c r="A51" s="38" t="s">
        <v>124</v>
      </c>
      <c r="B51" t="s">
        <v>125</v>
      </c>
      <c r="C51">
        <v>25</v>
      </c>
      <c r="D51" t="s">
        <v>126</v>
      </c>
    </row>
    <row r="52" spans="3:4" ht="15">
      <c r="C52" s="39" t="s">
        <v>131</v>
      </c>
      <c r="D52" t="s">
        <v>132</v>
      </c>
    </row>
    <row r="53" spans="3:4" ht="15">
      <c r="C53" s="39" t="s">
        <v>127</v>
      </c>
      <c r="D53" t="s">
        <v>133</v>
      </c>
    </row>
    <row r="54" spans="3:8" ht="15">
      <c r="C54" s="8" t="s">
        <v>128</v>
      </c>
      <c r="D54" s="8"/>
      <c r="E54" s="8"/>
      <c r="F54" s="8"/>
      <c r="G54" s="8"/>
      <c r="H54" s="8"/>
    </row>
    <row r="55" spans="3:8" ht="15">
      <c r="C55" s="8"/>
      <c r="D55" s="8"/>
      <c r="E55" s="8"/>
      <c r="F55" s="8"/>
      <c r="G55" s="8"/>
      <c r="H55" s="8"/>
    </row>
    <row r="56" spans="2:3" ht="15">
      <c r="B56" t="s">
        <v>130</v>
      </c>
      <c r="C56" t="s">
        <v>136</v>
      </c>
    </row>
    <row r="57" ht="15">
      <c r="C57" t="s">
        <v>135</v>
      </c>
    </row>
    <row r="58" ht="15">
      <c r="C58" t="s">
        <v>129</v>
      </c>
    </row>
    <row r="60" spans="1:2" ht="15">
      <c r="A60" s="38" t="s">
        <v>134</v>
      </c>
      <c r="B60" t="s">
        <v>184</v>
      </c>
    </row>
    <row r="62" spans="1:5" ht="15">
      <c r="A62" s="38" t="s">
        <v>137</v>
      </c>
      <c r="B62" t="s">
        <v>185</v>
      </c>
      <c r="D62" s="8">
        <v>17.5</v>
      </c>
      <c r="E62" s="8" t="s">
        <v>186</v>
      </c>
    </row>
    <row r="64" spans="1:2" ht="15">
      <c r="A64" s="38" t="s">
        <v>138</v>
      </c>
      <c r="B64" t="s">
        <v>139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Skånstrøm</dc:creator>
  <cp:keywords/>
  <dc:description/>
  <cp:lastModifiedBy>VIA</cp:lastModifiedBy>
  <dcterms:created xsi:type="dcterms:W3CDTF">2010-08-13T06:56:17Z</dcterms:created>
  <dcterms:modified xsi:type="dcterms:W3CDTF">2010-10-31T06:45:26Z</dcterms:modified>
  <cp:category/>
  <cp:version/>
  <cp:contentType/>
  <cp:contentStatus/>
</cp:coreProperties>
</file>